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$HP\Desktop\Pagina\xls\"/>
    </mc:Choice>
  </mc:AlternateContent>
  <xr:revisionPtr revIDLastSave="0" documentId="13_ncr:1_{D55020D9-86CF-4FD9-8385-56C39344E3EF}" xr6:coauthVersionLast="47" xr6:coauthVersionMax="47" xr10:uidLastSave="{00000000-0000-0000-0000-000000000000}"/>
  <bookViews>
    <workbookView xWindow="-108" yWindow="-108" windowWidth="23256" windowHeight="12576" xr2:uid="{A0887101-3451-4089-8D83-B771470816B2}"/>
  </bookViews>
  <sheets>
    <sheet name="Datos" sheetId="9" r:id="rId1"/>
    <sheet name="Costos Intern" sheetId="11" r:id="rId2"/>
    <sheet name="Costos Nacionales" sheetId="12" r:id="rId3"/>
    <sheet name="Hoja_Resultados" sheetId="10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2" l="1"/>
  <c r="C20" i="12"/>
  <c r="C19" i="12"/>
  <c r="A7" i="10"/>
  <c r="A8" i="10"/>
  <c r="A6" i="10"/>
  <c r="F5" i="12"/>
  <c r="F6" i="12"/>
  <c r="F4" i="12"/>
  <c r="C29" i="9"/>
  <c r="G13" i="12"/>
  <c r="G8" i="12"/>
  <c r="H3" i="12"/>
  <c r="D13" i="12"/>
  <c r="D3" i="12"/>
  <c r="C5" i="12"/>
  <c r="C6" i="12"/>
  <c r="C4" i="12"/>
  <c r="F20" i="12"/>
  <c r="F21" i="12"/>
  <c r="F19" i="12"/>
  <c r="F15" i="12"/>
  <c r="F16" i="12"/>
  <c r="F14" i="12"/>
  <c r="F10" i="12"/>
  <c r="F11" i="12"/>
  <c r="F9" i="12"/>
  <c r="B20" i="12"/>
  <c r="B21" i="12"/>
  <c r="B19" i="12"/>
  <c r="B15" i="12"/>
  <c r="B16" i="12"/>
  <c r="B14" i="12"/>
  <c r="B10" i="12"/>
  <c r="B11" i="12"/>
  <c r="B9" i="12"/>
  <c r="B5" i="12"/>
  <c r="B6" i="12"/>
  <c r="B4" i="12"/>
  <c r="D18" i="11"/>
  <c r="B20" i="11"/>
  <c r="B21" i="11"/>
  <c r="B19" i="11"/>
  <c r="B15" i="11"/>
  <c r="B16" i="11"/>
  <c r="B14" i="11"/>
  <c r="B10" i="11"/>
  <c r="B11" i="11"/>
  <c r="B9" i="11"/>
  <c r="E13" i="11"/>
  <c r="D13" i="11"/>
  <c r="C13" i="11"/>
  <c r="C8" i="11"/>
  <c r="B5" i="11"/>
  <c r="B6" i="11"/>
  <c r="B4" i="11"/>
  <c r="E7" i="10"/>
  <c r="C15" i="11" s="1"/>
  <c r="G7" i="10" s="1"/>
  <c r="C5" i="11"/>
  <c r="C6" i="11"/>
  <c r="E8" i="10" s="1"/>
  <c r="C11" i="11" s="1"/>
  <c r="F8" i="10" s="1"/>
  <c r="C4" i="11"/>
  <c r="E6" i="10" s="1"/>
  <c r="C14" i="11" s="1"/>
  <c r="G6" i="10" s="1"/>
  <c r="D7" i="10"/>
  <c r="D8" i="10"/>
  <c r="D6" i="10"/>
  <c r="C7" i="10"/>
  <c r="D5" i="12" s="1"/>
  <c r="J7" i="10" s="1"/>
  <c r="C8" i="10"/>
  <c r="V8" i="10" s="1"/>
  <c r="C6" i="10"/>
  <c r="B7" i="10"/>
  <c r="B8" i="10"/>
  <c r="B6" i="10"/>
  <c r="C16" i="11" l="1"/>
  <c r="G8" i="10" s="1"/>
  <c r="G9" i="10" s="1"/>
  <c r="C9" i="10"/>
  <c r="C9" i="11"/>
  <c r="F6" i="10" s="1"/>
  <c r="V7" i="10"/>
  <c r="D4" i="12"/>
  <c r="J6" i="10" s="1"/>
  <c r="J9" i="10" s="1"/>
  <c r="D6" i="12"/>
  <c r="J8" i="10" s="1"/>
  <c r="C10" i="11"/>
  <c r="F7" i="10" s="1"/>
  <c r="F9" i="10" s="1"/>
  <c r="V6" i="10"/>
  <c r="V9" i="10" s="1"/>
  <c r="E9" i="10"/>
  <c r="C20" i="11" l="1"/>
  <c r="H7" i="10" s="1"/>
  <c r="I7" i="10" s="1"/>
  <c r="C21" i="11"/>
  <c r="H8" i="10" s="1"/>
  <c r="I8" i="10" s="1"/>
  <c r="G10" i="12"/>
  <c r="O7" i="10" s="1"/>
  <c r="C19" i="11"/>
  <c r="H6" i="10" s="1"/>
  <c r="G11" i="12"/>
  <c r="O8" i="10" s="1"/>
  <c r="G9" i="12"/>
  <c r="O6" i="10" s="1"/>
  <c r="M7" i="10" l="1"/>
  <c r="G15" i="12" s="1"/>
  <c r="P7" i="10" s="1"/>
  <c r="G5" i="12"/>
  <c r="N7" i="10" s="1"/>
  <c r="C10" i="12"/>
  <c r="K7" i="10" s="1"/>
  <c r="C15" i="12"/>
  <c r="L7" i="10" s="1"/>
  <c r="O9" i="10"/>
  <c r="C16" i="12"/>
  <c r="L8" i="10" s="1"/>
  <c r="M8" i="10"/>
  <c r="G16" i="12" s="1"/>
  <c r="P8" i="10" s="1"/>
  <c r="G6" i="12"/>
  <c r="N8" i="10" s="1"/>
  <c r="C11" i="12"/>
  <c r="K8" i="10" s="1"/>
  <c r="H9" i="10"/>
  <c r="I6" i="10"/>
  <c r="Q7" i="10" l="1"/>
  <c r="R7" i="10" s="1"/>
  <c r="T7" i="10" s="1"/>
  <c r="Q8" i="10"/>
  <c r="R8" i="10" s="1"/>
  <c r="G21" i="12" s="1"/>
  <c r="S8" i="10" s="1"/>
  <c r="C14" i="12"/>
  <c r="L6" i="10" s="1"/>
  <c r="L9" i="10" s="1"/>
  <c r="C9" i="12"/>
  <c r="K6" i="10" s="1"/>
  <c r="M6" i="10"/>
  <c r="M9" i="10" s="1"/>
  <c r="G4" i="12"/>
  <c r="N6" i="10" s="1"/>
  <c r="N9" i="10" s="1"/>
  <c r="I9" i="10"/>
  <c r="T8" i="10" l="1"/>
  <c r="U8" i="10" s="1"/>
  <c r="W8" i="10" s="1"/>
  <c r="G20" i="12"/>
  <c r="S7" i="10" s="1"/>
  <c r="Q6" i="10"/>
  <c r="R6" i="10" s="1"/>
  <c r="K9" i="10"/>
  <c r="G14" i="12"/>
  <c r="P6" i="10" s="1"/>
  <c r="P9" i="10" s="1"/>
  <c r="Z8" i="10"/>
  <c r="Y8" i="10"/>
  <c r="Y7" i="10"/>
  <c r="U7" i="10"/>
  <c r="W7" i="10" s="1"/>
  <c r="Z7" i="10"/>
  <c r="Q9" i="10" l="1"/>
  <c r="AA8" i="10"/>
  <c r="AA7" i="10"/>
  <c r="G19" i="12"/>
  <c r="R9" i="10"/>
  <c r="T6" i="10"/>
  <c r="S6" i="10" l="1"/>
  <c r="S9" i="10" s="1"/>
  <c r="U6" i="10"/>
  <c r="W6" i="10" s="1"/>
  <c r="Y6" i="10"/>
  <c r="Y9" i="10" s="1"/>
  <c r="Z6" i="10"/>
  <c r="Z9" i="10" s="1"/>
  <c r="W9" i="10" l="1"/>
  <c r="AA6" i="10"/>
  <c r="AA9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B23" authorId="0" shapeId="0" xr:uid="{E7D3F66C-90BF-459D-82CD-CBCBFB4F8E32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Almacenera Boliviana S.A.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B8" authorId="0" shapeId="0" xr:uid="{F3D03500-A956-40D2-8F01-A2E7EEBDDCDF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El servicio de ALBO S.A. consiste en la emisión del certificado de salida, verificar la salida física de las mercancías de los recintos aduaneros de frontera, en base a lo establecido para el servicio de asistencia al control de tránsitos del Reglamento para la concesión y los procedimientos aduaneros para el régimen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H5" authorId="0" shapeId="0" xr:uid="{CB965D25-86D0-48D0-9ACE-AE975FF4B41E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Pago de derechos y tasas en consulados bolivianos en el extranjero por la legalización, visado o certificación de documentos necesarios para la operación (facturas comerciales, sert de origen, etc.) para que la mcia cumpla las normativas bolivianas</t>
        </r>
      </text>
    </comment>
  </commentList>
</comments>
</file>

<file path=xl/sharedStrings.xml><?xml version="1.0" encoding="utf-8"?>
<sst xmlns="http://schemas.openxmlformats.org/spreadsheetml/2006/main" count="89" uniqueCount="67">
  <si>
    <t>CIF FRONTERA</t>
  </si>
  <si>
    <t>IVA</t>
  </si>
  <si>
    <t>IVA 14.94%</t>
  </si>
  <si>
    <t>TOTAL</t>
  </si>
  <si>
    <t>COSTO COMERCIAL</t>
  </si>
  <si>
    <t>HOJA DE IMPORTACIÓN Y DE COSTO</t>
  </si>
  <si>
    <t>N°</t>
  </si>
  <si>
    <t>COSTO UNITARIO $US</t>
  </si>
  <si>
    <t>Costo Bs</t>
  </si>
  <si>
    <t>Costos Internacionales</t>
  </si>
  <si>
    <t>Costo de Origen FOB</t>
  </si>
  <si>
    <t>Seguros</t>
  </si>
  <si>
    <t>Concep.</t>
  </si>
  <si>
    <t>Cant.</t>
  </si>
  <si>
    <t>Fletes</t>
  </si>
  <si>
    <t>Gastos Consulares</t>
  </si>
  <si>
    <t>Costos Internacionales en Bs</t>
  </si>
  <si>
    <t>Costos Nacionales</t>
  </si>
  <si>
    <t>Transporte</t>
  </si>
  <si>
    <t>Albos</t>
  </si>
  <si>
    <t>Comisiones Bancarias</t>
  </si>
  <si>
    <t>Comisión Bancaria</t>
  </si>
  <si>
    <t>Arancel Aduanero</t>
  </si>
  <si>
    <t>Comisión Agencia</t>
  </si>
  <si>
    <t>Varios</t>
  </si>
  <si>
    <t>Gastos Varios</t>
  </si>
  <si>
    <t>Costo Almacen en $US</t>
  </si>
  <si>
    <t>Costo Almacen en Bs</t>
  </si>
  <si>
    <t>Crediro Fiscal</t>
  </si>
  <si>
    <t>Credito Fiscal</t>
  </si>
  <si>
    <t>Costo Unitario en Bs</t>
  </si>
  <si>
    <t>Precio de Venta en Bs</t>
  </si>
  <si>
    <t>Cantidad de Ventas</t>
  </si>
  <si>
    <t>Ventas en Bs</t>
  </si>
  <si>
    <t>Costo de Venta (CMV)</t>
  </si>
  <si>
    <t>Inventario Final</t>
  </si>
  <si>
    <t>Utilidad Bruta</t>
  </si>
  <si>
    <t>Peso Unit</t>
  </si>
  <si>
    <t>ARTICULO</t>
  </si>
  <si>
    <t>UNIDAD</t>
  </si>
  <si>
    <t>HOJA DE COSTOS</t>
  </si>
  <si>
    <t>Gostos Internacionales</t>
  </si>
  <si>
    <t>s/FOB</t>
  </si>
  <si>
    <t>Art A</t>
  </si>
  <si>
    <t>Art B</t>
  </si>
  <si>
    <t>Art C</t>
  </si>
  <si>
    <t>Gostos Consulares</t>
  </si>
  <si>
    <t xml:space="preserve">Bs </t>
  </si>
  <si>
    <t>Gastos Nacionales</t>
  </si>
  <si>
    <t>Comisión Agencias</t>
  </si>
  <si>
    <t>Bs /Kg</t>
  </si>
  <si>
    <t>s/CIF</t>
  </si>
  <si>
    <t xml:space="preserve">Bs   </t>
  </si>
  <si>
    <t>TC</t>
  </si>
  <si>
    <t>1$us=</t>
  </si>
  <si>
    <t>Bs</t>
  </si>
  <si>
    <t>Utilidad</t>
  </si>
  <si>
    <t>Importacion Venta</t>
  </si>
  <si>
    <t>almacen</t>
  </si>
  <si>
    <t>PESO UNITARIO</t>
  </si>
  <si>
    <t>PARTIDA</t>
  </si>
  <si>
    <t>CARTUCHO DE OSMOSIS INVERSA</t>
  </si>
  <si>
    <t>8421.21.10.00</t>
  </si>
  <si>
    <t>RESINADO DE FILTRADO</t>
  </si>
  <si>
    <t>3907.29.20.10</t>
  </si>
  <si>
    <t>VALVULA DE GLOBO DE DIAMETRO</t>
  </si>
  <si>
    <t>8481.80.70.00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</si>
</sst>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Bs&quot;* #,##0.00_-;\-&quot;Bs&quot;* #,##0.00_-;_-&quot;Bs&quot;* &quot;-&quot;??_-;_-@_-"/>
    <numFmt numFmtId="164" formatCode="#,##0.00_ ;\-#,##0.00\ 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/>
    <xf numFmtId="9" fontId="1" fillId="0" borderId="0" xfId="0" applyNumberFormat="1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2" fontId="0" fillId="0" borderId="9" xfId="0" applyNumberFormat="1" applyBorder="1"/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4" fontId="0" fillId="0" borderId="9" xfId="0" applyNumberFormat="1" applyBorder="1" applyAlignment="1">
      <alignment vertical="center" wrapText="1"/>
    </xf>
    <xf numFmtId="4" fontId="0" fillId="0" borderId="9" xfId="0" applyNumberFormat="1" applyBorder="1"/>
    <xf numFmtId="4" fontId="1" fillId="0" borderId="9" xfId="0" applyNumberFormat="1" applyFont="1" applyBorder="1"/>
    <xf numFmtId="4" fontId="0" fillId="0" borderId="9" xfId="0" applyNumberFormat="1" applyBorder="1" applyAlignment="1">
      <alignment horizontal="right"/>
    </xf>
    <xf numFmtId="0" fontId="0" fillId="0" borderId="13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7" xfId="0" applyBorder="1"/>
    <xf numFmtId="0" fontId="1" fillId="0" borderId="13" xfId="0" applyFont="1" applyBorder="1" applyAlignment="1">
      <alignment vertical="center" wrapText="1"/>
    </xf>
    <xf numFmtId="9" fontId="1" fillId="0" borderId="9" xfId="0" applyNumberFormat="1" applyFont="1" applyBorder="1"/>
    <xf numFmtId="9" fontId="1" fillId="0" borderId="10" xfId="0" applyNumberFormat="1" applyFont="1" applyBorder="1"/>
    <xf numFmtId="9" fontId="1" fillId="0" borderId="14" xfId="0" applyNumberFormat="1" applyFont="1" applyBorder="1"/>
    <xf numFmtId="0" fontId="0" fillId="0" borderId="8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2" fontId="0" fillId="0" borderId="16" xfId="0" applyNumberFormat="1" applyBorder="1"/>
    <xf numFmtId="10" fontId="1" fillId="0" borderId="9" xfId="0" applyNumberFormat="1" applyFont="1" applyBorder="1"/>
    <xf numFmtId="2" fontId="0" fillId="0" borderId="8" xfId="0" applyNumberFormat="1" applyBorder="1"/>
    <xf numFmtId="0" fontId="0" fillId="0" borderId="12" xfId="0" applyBorder="1"/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 wrapText="1"/>
    </xf>
    <xf numFmtId="9" fontId="0" fillId="0" borderId="0" xfId="0" applyNumberFormat="1"/>
    <xf numFmtId="0" fontId="1" fillId="0" borderId="0" xfId="0" applyFont="1" applyAlignment="1">
      <alignment horizontal="center" vertical="center" wrapText="1"/>
    </xf>
    <xf numFmtId="10" fontId="0" fillId="0" borderId="0" xfId="0" applyNumberFormat="1"/>
    <xf numFmtId="164" fontId="0" fillId="0" borderId="0" xfId="1" applyNumberFormat="1" applyFont="1"/>
    <xf numFmtId="0" fontId="0" fillId="0" borderId="0" xfId="0" applyAlignment="1">
      <alignment horizontal="right"/>
    </xf>
    <xf numFmtId="164" fontId="1" fillId="0" borderId="9" xfId="1" applyNumberFormat="1" applyFont="1" applyBorder="1"/>
    <xf numFmtId="0" fontId="1" fillId="3" borderId="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9" fontId="1" fillId="0" borderId="20" xfId="0" applyNumberFormat="1" applyFont="1" applyBorder="1" applyAlignment="1">
      <alignment horizontal="left" vertical="top"/>
    </xf>
    <xf numFmtId="0" fontId="0" fillId="0" borderId="8" xfId="0" applyBorder="1"/>
    <xf numFmtId="0" fontId="1" fillId="0" borderId="11" xfId="0" applyFont="1" applyBorder="1" applyAlignment="1">
      <alignment vertical="center" wrapText="1"/>
    </xf>
    <xf numFmtId="0" fontId="1" fillId="0" borderId="13" xfId="0" applyFont="1" applyBorder="1" applyAlignment="1">
      <alignment vertical="top" wrapText="1"/>
    </xf>
    <xf numFmtId="9" fontId="1" fillId="0" borderId="9" xfId="0" applyNumberFormat="1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A98EB-D8FF-45F2-9A1E-DFD0C26CD872}">
  <dimension ref="A1:F29"/>
  <sheetViews>
    <sheetView tabSelected="1" workbookViewId="0">
      <selection activeCell="C21" sqref="C21"/>
    </sheetView>
  </sheetViews>
  <sheetFormatPr baseColWidth="10" defaultRowHeight="14.4" x14ac:dyDescent="0.3"/>
  <cols>
    <col min="1" max="1" width="16.33203125" customWidth="1"/>
    <col min="2" max="2" width="30" bestFit="1" customWidth="1"/>
  </cols>
  <sheetData>
    <row r="1" spans="1:5" ht="15" thickBot="1" x14ac:dyDescent="0.35"/>
    <row r="2" spans="1:5" ht="43.8" thickBot="1" x14ac:dyDescent="0.35">
      <c r="A2" s="40" t="s">
        <v>60</v>
      </c>
      <c r="B2" s="40" t="s">
        <v>38</v>
      </c>
      <c r="C2" s="41" t="s">
        <v>39</v>
      </c>
      <c r="D2" s="41" t="s">
        <v>7</v>
      </c>
      <c r="E2" s="41" t="s">
        <v>59</v>
      </c>
    </row>
    <row r="3" spans="1:5" ht="15" thickBot="1" x14ac:dyDescent="0.35">
      <c r="A3" s="48" t="s">
        <v>62</v>
      </c>
      <c r="B3" s="48" t="s">
        <v>61</v>
      </c>
      <c r="C3" s="32">
        <v>150</v>
      </c>
      <c r="D3" s="32">
        <v>140</v>
      </c>
      <c r="E3" s="32">
        <v>70</v>
      </c>
    </row>
    <row r="4" spans="1:5" ht="15" thickBot="1" x14ac:dyDescent="0.35">
      <c r="A4" s="6" t="s">
        <v>64</v>
      </c>
      <c r="B4" s="6" t="s">
        <v>63</v>
      </c>
      <c r="C4" s="32">
        <v>70</v>
      </c>
      <c r="D4" s="32">
        <v>200</v>
      </c>
      <c r="E4" s="32">
        <v>35</v>
      </c>
    </row>
    <row r="5" spans="1:5" ht="15" thickBot="1" x14ac:dyDescent="0.35">
      <c r="A5" s="6" t="s">
        <v>66</v>
      </c>
      <c r="B5" s="6" t="s">
        <v>65</v>
      </c>
      <c r="C5" s="32">
        <v>80</v>
      </c>
      <c r="D5" s="32">
        <v>160</v>
      </c>
      <c r="E5" s="32">
        <v>25</v>
      </c>
    </row>
    <row r="8" spans="1:5" ht="15" customHeight="1" x14ac:dyDescent="0.3">
      <c r="B8" s="34" t="s">
        <v>40</v>
      </c>
    </row>
    <row r="9" spans="1:5" x14ac:dyDescent="0.3">
      <c r="A9" s="1"/>
      <c r="B9" s="52" t="s">
        <v>41</v>
      </c>
      <c r="C9" s="52"/>
      <c r="D9" s="52"/>
    </row>
    <row r="10" spans="1:5" x14ac:dyDescent="0.3">
      <c r="B10" t="s">
        <v>11</v>
      </c>
      <c r="C10" s="33">
        <v>0.15</v>
      </c>
      <c r="D10" t="s">
        <v>42</v>
      </c>
    </row>
    <row r="11" spans="1:5" x14ac:dyDescent="0.3">
      <c r="B11" t="s">
        <v>14</v>
      </c>
      <c r="C11" s="33">
        <v>0.03</v>
      </c>
      <c r="D11" t="s">
        <v>43</v>
      </c>
    </row>
    <row r="12" spans="1:5" x14ac:dyDescent="0.3">
      <c r="C12" s="33">
        <v>0.05</v>
      </c>
      <c r="D12" t="s">
        <v>44</v>
      </c>
    </row>
    <row r="13" spans="1:5" x14ac:dyDescent="0.3">
      <c r="C13" s="33">
        <v>0.04</v>
      </c>
      <c r="D13" t="s">
        <v>45</v>
      </c>
    </row>
    <row r="14" spans="1:5" x14ac:dyDescent="0.3">
      <c r="B14" t="s">
        <v>46</v>
      </c>
      <c r="C14" s="36">
        <v>200</v>
      </c>
      <c r="D14" t="s">
        <v>47</v>
      </c>
    </row>
    <row r="16" spans="1:5" x14ac:dyDescent="0.3">
      <c r="B16" s="52" t="s">
        <v>48</v>
      </c>
      <c r="C16" s="52"/>
      <c r="D16" s="52"/>
    </row>
    <row r="17" spans="2:6" x14ac:dyDescent="0.3">
      <c r="B17" t="s">
        <v>14</v>
      </c>
      <c r="C17" s="36">
        <v>0.5</v>
      </c>
      <c r="D17" t="s">
        <v>50</v>
      </c>
    </row>
    <row r="18" spans="2:6" x14ac:dyDescent="0.3">
      <c r="B18" t="s">
        <v>20</v>
      </c>
      <c r="C18" s="33">
        <v>0.02</v>
      </c>
      <c r="D18" t="s">
        <v>51</v>
      </c>
    </row>
    <row r="19" spans="2:6" x14ac:dyDescent="0.3">
      <c r="B19" t="s">
        <v>22</v>
      </c>
      <c r="C19" s="33">
        <v>0.15</v>
      </c>
      <c r="D19" s="33">
        <v>0.1</v>
      </c>
      <c r="E19" s="33">
        <v>0.05</v>
      </c>
      <c r="F19" t="s">
        <v>51</v>
      </c>
    </row>
    <row r="20" spans="2:6" x14ac:dyDescent="0.3">
      <c r="B20" t="s">
        <v>49</v>
      </c>
      <c r="C20" s="33">
        <v>0.01</v>
      </c>
      <c r="D20" t="s">
        <v>51</v>
      </c>
    </row>
    <row r="21" spans="2:6" x14ac:dyDescent="0.3">
      <c r="B21" t="s">
        <v>24</v>
      </c>
      <c r="C21" s="36">
        <v>1000</v>
      </c>
      <c r="D21" t="s">
        <v>52</v>
      </c>
    </row>
    <row r="22" spans="2:6" x14ac:dyDescent="0.3">
      <c r="B22" t="s">
        <v>1</v>
      </c>
      <c r="C22" s="35">
        <v>0.14940000000000001</v>
      </c>
    </row>
    <row r="23" spans="2:6" x14ac:dyDescent="0.3">
      <c r="B23" t="s">
        <v>19</v>
      </c>
      <c r="C23" s="35">
        <v>5.0000000000000001E-3</v>
      </c>
      <c r="D23" t="s">
        <v>51</v>
      </c>
    </row>
    <row r="25" spans="2:6" x14ac:dyDescent="0.3">
      <c r="B25" t="s">
        <v>53</v>
      </c>
      <c r="C25" s="37" t="s">
        <v>54</v>
      </c>
      <c r="D25">
        <v>6.96</v>
      </c>
      <c r="E25" t="s">
        <v>55</v>
      </c>
    </row>
    <row r="26" spans="2:6" x14ac:dyDescent="0.3">
      <c r="B26" t="s">
        <v>56</v>
      </c>
      <c r="C26" s="33">
        <v>0.4</v>
      </c>
      <c r="D26">
        <v>1.4</v>
      </c>
    </row>
    <row r="27" spans="2:6" x14ac:dyDescent="0.3">
      <c r="C27" s="33">
        <v>0.2</v>
      </c>
      <c r="D27" t="s">
        <v>57</v>
      </c>
    </row>
    <row r="28" spans="2:6" x14ac:dyDescent="0.3">
      <c r="C28" s="33">
        <v>0.8</v>
      </c>
      <c r="D28" t="s">
        <v>58</v>
      </c>
    </row>
    <row r="29" spans="2:6" x14ac:dyDescent="0.3">
      <c r="B29" t="s">
        <v>29</v>
      </c>
      <c r="C29">
        <f>1-0.13</f>
        <v>0.87</v>
      </c>
    </row>
  </sheetData>
  <mergeCells count="2">
    <mergeCell ref="B9:D9"/>
    <mergeCell ref="B16:D16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D5CE-5D11-4900-AFEC-9B12E63F577E}">
  <dimension ref="B2:E21"/>
  <sheetViews>
    <sheetView workbookViewId="0">
      <selection activeCell="C14" sqref="C14"/>
    </sheetView>
  </sheetViews>
  <sheetFormatPr baseColWidth="10" defaultRowHeight="14.4" x14ac:dyDescent="0.3"/>
  <cols>
    <col min="2" max="2" width="30" bestFit="1" customWidth="1"/>
  </cols>
  <sheetData>
    <row r="2" spans="2:5" x14ac:dyDescent="0.3">
      <c r="B2" s="53" t="s">
        <v>9</v>
      </c>
      <c r="C2" s="53"/>
      <c r="D2" s="53"/>
      <c r="E2" s="53"/>
    </row>
    <row r="3" spans="2:5" ht="14.4" customHeight="1" x14ac:dyDescent="0.3">
      <c r="B3" s="56" t="s">
        <v>10</v>
      </c>
      <c r="C3" s="57"/>
      <c r="E3" s="4"/>
    </row>
    <row r="4" spans="2:5" x14ac:dyDescent="0.3">
      <c r="B4" s="16" t="str">
        <f>+Datos!B3</f>
        <v>CARTUCHO DE OSMOSIS INVERSA</v>
      </c>
      <c r="C4" s="6">
        <f>(Datos!C3*Datos!D3)*Datos!$D$25</f>
        <v>146160</v>
      </c>
      <c r="E4" s="4"/>
    </row>
    <row r="5" spans="2:5" x14ac:dyDescent="0.3">
      <c r="B5" s="16" t="str">
        <f>+Datos!B4</f>
        <v>RESINADO DE FILTRADO</v>
      </c>
      <c r="C5" s="6">
        <f>(Datos!C4*Datos!D4)*Datos!$D$25</f>
        <v>97440</v>
      </c>
      <c r="E5" s="4"/>
    </row>
    <row r="6" spans="2:5" x14ac:dyDescent="0.3">
      <c r="B6" s="16" t="str">
        <f>+Datos!B5</f>
        <v>VALVULA DE GLOBO DE DIAMETRO</v>
      </c>
      <c r="C6" s="6">
        <f>(Datos!C5*Datos!D5)*Datos!$D$25</f>
        <v>89088</v>
      </c>
      <c r="E6" s="4"/>
    </row>
    <row r="7" spans="2:5" x14ac:dyDescent="0.3">
      <c r="B7" s="3"/>
      <c r="E7" s="4"/>
    </row>
    <row r="8" spans="2:5" x14ac:dyDescent="0.3">
      <c r="B8" s="19" t="s">
        <v>11</v>
      </c>
      <c r="C8" s="20">
        <f>+Datos!C10</f>
        <v>0.15</v>
      </c>
      <c r="E8" s="4"/>
    </row>
    <row r="9" spans="2:5" x14ac:dyDescent="0.3">
      <c r="B9" s="16" t="str">
        <f>+Datos!B3</f>
        <v>CARTUCHO DE OSMOSIS INVERSA</v>
      </c>
      <c r="C9" s="6">
        <f>Hoja_Resultados!E6*'Costos Intern'!$C$8</f>
        <v>21924</v>
      </c>
      <c r="E9" s="4"/>
    </row>
    <row r="10" spans="2:5" x14ac:dyDescent="0.3">
      <c r="B10" s="16" t="str">
        <f>+Datos!B4</f>
        <v>RESINADO DE FILTRADO</v>
      </c>
      <c r="C10" s="6">
        <f>Hoja_Resultados!E7*'Costos Intern'!$C$8</f>
        <v>14616</v>
      </c>
      <c r="E10" s="4"/>
    </row>
    <row r="11" spans="2:5" x14ac:dyDescent="0.3">
      <c r="B11" s="16" t="str">
        <f>+Datos!B5</f>
        <v>VALVULA DE GLOBO DE DIAMETRO</v>
      </c>
      <c r="C11" s="6">
        <f>Hoja_Resultados!E8*'Costos Intern'!$C$8</f>
        <v>13363.199999999999</v>
      </c>
      <c r="E11" s="4"/>
    </row>
    <row r="12" spans="2:5" x14ac:dyDescent="0.3">
      <c r="B12" s="3"/>
      <c r="E12" s="4"/>
    </row>
    <row r="13" spans="2:5" x14ac:dyDescent="0.3">
      <c r="B13" s="19" t="s">
        <v>14</v>
      </c>
      <c r="C13" s="20">
        <f>+Datos!C11</f>
        <v>0.03</v>
      </c>
      <c r="D13" s="21">
        <f>+Datos!C12</f>
        <v>0.05</v>
      </c>
      <c r="E13" s="22">
        <f>+Datos!C13</f>
        <v>0.04</v>
      </c>
    </row>
    <row r="14" spans="2:5" x14ac:dyDescent="0.3">
      <c r="B14" s="16" t="str">
        <f>+Datos!B3</f>
        <v>CARTUCHO DE OSMOSIS INVERSA</v>
      </c>
      <c r="C14" s="6">
        <f>Hoja_Resultados!E6*'Costos Intern'!C13</f>
        <v>4384.8</v>
      </c>
      <c r="E14" s="4"/>
    </row>
    <row r="15" spans="2:5" x14ac:dyDescent="0.3">
      <c r="B15" s="16" t="str">
        <f>+Datos!B4</f>
        <v>RESINADO DE FILTRADO</v>
      </c>
      <c r="C15" s="6">
        <f>Hoja_Resultados!E7*'Costos Intern'!D13</f>
        <v>4872</v>
      </c>
      <c r="E15" s="4"/>
    </row>
    <row r="16" spans="2:5" x14ac:dyDescent="0.3">
      <c r="B16" s="16" t="str">
        <f>+Datos!B5</f>
        <v>VALVULA DE GLOBO DE DIAMETRO</v>
      </c>
      <c r="C16" s="6">
        <f>Hoja_Resultados!E8*'Costos Intern'!E13</f>
        <v>3563.52</v>
      </c>
      <c r="E16" s="4"/>
    </row>
    <row r="17" spans="2:5" x14ac:dyDescent="0.3">
      <c r="B17" s="3"/>
      <c r="E17" s="4"/>
    </row>
    <row r="18" spans="2:5" x14ac:dyDescent="0.3">
      <c r="B18" s="54" t="s">
        <v>15</v>
      </c>
      <c r="C18" s="55"/>
      <c r="D18" s="38">
        <f>+Datos!C14</f>
        <v>200</v>
      </c>
      <c r="E18" s="4"/>
    </row>
    <row r="19" spans="2:5" x14ac:dyDescent="0.3">
      <c r="B19" s="16" t="str">
        <f>+Datos!B3</f>
        <v>CARTUCHO DE OSMOSIS INVERSA</v>
      </c>
      <c r="C19" s="9">
        <f>($D$18/Hoja_Resultados!$E$9)*Hoja_Resultados!E6</f>
        <v>87.86610878661088</v>
      </c>
      <c r="E19" s="4"/>
    </row>
    <row r="20" spans="2:5" x14ac:dyDescent="0.3">
      <c r="B20" s="16" t="str">
        <f>+Datos!B4</f>
        <v>RESINADO DE FILTRADO</v>
      </c>
      <c r="C20" s="9">
        <f>($D$18/Hoja_Resultados!$E$9)*Hoja_Resultados!E7</f>
        <v>58.577405857740587</v>
      </c>
      <c r="E20" s="4"/>
    </row>
    <row r="21" spans="2:5" ht="15" thickBot="1" x14ac:dyDescent="0.35">
      <c r="B21" s="16" t="str">
        <f>+Datos!B5</f>
        <v>VALVULA DE GLOBO DE DIAMETRO</v>
      </c>
      <c r="C21" s="9">
        <f>($D$18/Hoja_Resultados!$E$9)*Hoja_Resultados!E8</f>
        <v>53.556485355648533</v>
      </c>
      <c r="D21" s="5"/>
      <c r="E21" s="18"/>
    </row>
  </sheetData>
  <mergeCells count="3">
    <mergeCell ref="B2:E2"/>
    <mergeCell ref="B18:C18"/>
    <mergeCell ref="B3:C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B1610-4F77-40D8-B1DD-C4D375B0048E}">
  <dimension ref="B1:H21"/>
  <sheetViews>
    <sheetView workbookViewId="0">
      <selection activeCell="G8" sqref="G8"/>
    </sheetView>
  </sheetViews>
  <sheetFormatPr baseColWidth="10" defaultRowHeight="14.4" x14ac:dyDescent="0.3"/>
  <cols>
    <col min="2" max="2" width="30" bestFit="1" customWidth="1"/>
    <col min="6" max="6" width="30" bestFit="1" customWidth="1"/>
  </cols>
  <sheetData>
    <row r="1" spans="2:8" ht="15" thickBot="1" x14ac:dyDescent="0.35">
      <c r="B1" s="42"/>
      <c r="C1" s="42"/>
      <c r="D1" s="42"/>
      <c r="E1" s="42"/>
      <c r="F1" s="42"/>
      <c r="G1" s="42"/>
      <c r="H1" s="42"/>
    </row>
    <row r="2" spans="2:8" ht="15" thickBot="1" x14ac:dyDescent="0.35">
      <c r="B2" s="58" t="s">
        <v>17</v>
      </c>
      <c r="C2" s="59"/>
      <c r="D2" s="59"/>
      <c r="E2" s="59"/>
      <c r="F2" s="59"/>
      <c r="G2" s="59"/>
      <c r="H2" s="60"/>
    </row>
    <row r="3" spans="2:8" x14ac:dyDescent="0.3">
      <c r="B3" s="43" t="s">
        <v>18</v>
      </c>
      <c r="C3" s="44" t="s">
        <v>37</v>
      </c>
      <c r="D3" s="45">
        <f>+Datos!C17</f>
        <v>0.5</v>
      </c>
      <c r="E3" s="46"/>
      <c r="F3" s="61" t="s">
        <v>23</v>
      </c>
      <c r="G3" s="61"/>
      <c r="H3" s="47">
        <f>+Datos!C20</f>
        <v>0.01</v>
      </c>
    </row>
    <row r="4" spans="2:8" x14ac:dyDescent="0.3">
      <c r="B4" s="16" t="str">
        <f>+Datos!B3</f>
        <v>CARTUCHO DE OSMOSIS INVERSA</v>
      </c>
      <c r="C4" s="8">
        <f>+Datos!E3</f>
        <v>70</v>
      </c>
      <c r="D4" s="6">
        <f>((C4*Hoja_Resultados!C6)*'Costos Nacionales'!$D$3)*Datos!$C$29</f>
        <v>4567.5</v>
      </c>
      <c r="F4" s="8" t="str">
        <f>+Datos!B3</f>
        <v>CARTUCHO DE OSMOSIS INVERSA</v>
      </c>
      <c r="G4" s="9">
        <f>(Hoja_Resultados!I6*$H$3)*Datos!$C$29</f>
        <v>1501.2429951464433</v>
      </c>
      <c r="H4" s="4"/>
    </row>
    <row r="5" spans="2:8" x14ac:dyDescent="0.3">
      <c r="B5" s="16" t="str">
        <f>+Datos!B4</f>
        <v>RESINADO DE FILTRADO</v>
      </c>
      <c r="C5" s="8">
        <f>+Datos!E4</f>
        <v>35</v>
      </c>
      <c r="D5" s="6">
        <f>((C5*Hoja_Resultados!C7)*'Costos Nacionales'!$D$3)*Datos!$C$29</f>
        <v>1065.75</v>
      </c>
      <c r="F5" s="8" t="str">
        <f>+Datos!B4</f>
        <v>RESINADO DE FILTRADO</v>
      </c>
      <c r="G5" s="9">
        <f>(Hoja_Resultados!I7*$H$3)*Datos!$C$29</f>
        <v>1017.7832234309624</v>
      </c>
      <c r="H5" s="4"/>
    </row>
    <row r="6" spans="2:8" x14ac:dyDescent="0.3">
      <c r="B6" s="16" t="str">
        <f>+Datos!B5</f>
        <v>VALVULA DE GLOBO DE DIAMETRO</v>
      </c>
      <c r="C6" s="8">
        <f>+Datos!E5</f>
        <v>25</v>
      </c>
      <c r="D6" s="6">
        <f>((C6*Hoja_Resultados!C8)*'Costos Nacionales'!$D$3)*Datos!$C$29</f>
        <v>870</v>
      </c>
      <c r="F6" s="8" t="str">
        <f>+Datos!B5</f>
        <v>VALVULA DE GLOBO DE DIAMETRO</v>
      </c>
      <c r="G6" s="9">
        <f>(Hoja_Resultados!I8*$H$3)*Datos!$C$29</f>
        <v>922.79400542259407</v>
      </c>
      <c r="H6" s="4"/>
    </row>
    <row r="7" spans="2:8" ht="15" thickBot="1" x14ac:dyDescent="0.35">
      <c r="B7" s="3"/>
      <c r="H7" s="4"/>
    </row>
    <row r="8" spans="2:8" ht="15" thickBot="1" x14ac:dyDescent="0.35">
      <c r="B8" s="19" t="s">
        <v>19</v>
      </c>
      <c r="C8" s="26">
        <v>5.0000000000000001E-3</v>
      </c>
      <c r="F8" s="49" t="s">
        <v>24</v>
      </c>
      <c r="G8" s="28">
        <f>+Datos!C21</f>
        <v>1000</v>
      </c>
      <c r="H8" s="4"/>
    </row>
    <row r="9" spans="2:8" x14ac:dyDescent="0.3">
      <c r="B9" s="16" t="str">
        <f>+Datos!B3</f>
        <v>CARTUCHO DE OSMOSIS INVERSA</v>
      </c>
      <c r="C9" s="9">
        <f>(Hoja_Resultados!I6*$C$8)*Datos!$C$29</f>
        <v>750.62149757322163</v>
      </c>
      <c r="F9" s="23" t="str">
        <f>+Datos!B3</f>
        <v>CARTUCHO DE OSMOSIS INVERSA</v>
      </c>
      <c r="G9" s="27">
        <f>(((Datos!$C$21*Datos!$C$29)/Hoja_Resultados!$E$9)*Hoja_Resultados!E6)</f>
        <v>382.21757322175728</v>
      </c>
      <c r="H9" s="4"/>
    </row>
    <row r="10" spans="2:8" x14ac:dyDescent="0.3">
      <c r="B10" s="16" t="str">
        <f>+Datos!B4</f>
        <v>RESINADO DE FILTRADO</v>
      </c>
      <c r="C10" s="9">
        <f>(Hoja_Resultados!I7*$C$8)*Datos!$C$29</f>
        <v>508.89161171548119</v>
      </c>
      <c r="F10" s="23" t="str">
        <f>+Datos!B4</f>
        <v>RESINADO DE FILTRADO</v>
      </c>
      <c r="G10" s="27">
        <f>(((Datos!$C$21*Datos!$C$29)/Hoja_Resultados!$E$9)*Hoja_Resultados!E7)</f>
        <v>254.81171548117155</v>
      </c>
      <c r="H10" s="4"/>
    </row>
    <row r="11" spans="2:8" x14ac:dyDescent="0.3">
      <c r="B11" s="16" t="str">
        <f>+Datos!B5</f>
        <v>VALVULA DE GLOBO DE DIAMETRO</v>
      </c>
      <c r="C11" s="9">
        <f>(Hoja_Resultados!I8*$C$8)*Datos!$C$29</f>
        <v>461.39700271129703</v>
      </c>
      <c r="F11" s="23" t="str">
        <f>+Datos!B5</f>
        <v>VALVULA DE GLOBO DE DIAMETRO</v>
      </c>
      <c r="G11" s="27">
        <f>(((Datos!$C$21*Datos!$C$29)/Hoja_Resultados!$E$9)*Hoja_Resultados!E8)</f>
        <v>232.97071129707112</v>
      </c>
      <c r="H11" s="4"/>
    </row>
    <row r="12" spans="2:8" x14ac:dyDescent="0.3">
      <c r="B12" s="3"/>
      <c r="H12" s="4"/>
    </row>
    <row r="13" spans="2:8" x14ac:dyDescent="0.3">
      <c r="B13" s="54" t="s">
        <v>21</v>
      </c>
      <c r="C13" s="55"/>
      <c r="D13" s="20">
        <f>+Datos!C18</f>
        <v>0.02</v>
      </c>
      <c r="F13" s="29" t="s">
        <v>1</v>
      </c>
      <c r="G13" s="26">
        <f>+Datos!C22</f>
        <v>0.14940000000000001</v>
      </c>
      <c r="H13" s="4"/>
    </row>
    <row r="14" spans="2:8" x14ac:dyDescent="0.3">
      <c r="B14" s="16" t="str">
        <f>+Datos!B3</f>
        <v>CARTUCHO DE OSMOSIS INVERSA</v>
      </c>
      <c r="C14" s="9">
        <f>(Hoja_Resultados!I6*$D$13)*Datos!$C$29</f>
        <v>3002.4859902928865</v>
      </c>
      <c r="F14" s="8" t="str">
        <f>+Datos!B3</f>
        <v>CARTUCHO DE OSMOSIS INVERSA</v>
      </c>
      <c r="G14" s="9">
        <f>(Hoja_Resultados!I6+Hoja_Resultados!M6)*Datos!$C$22</f>
        <v>29646.960804150625</v>
      </c>
      <c r="H14" s="4"/>
    </row>
    <row r="15" spans="2:8" x14ac:dyDescent="0.3">
      <c r="B15" s="16" t="str">
        <f>+Datos!B4</f>
        <v>RESINADO DE FILTRADO</v>
      </c>
      <c r="C15" s="9">
        <f>(Hoja_Resultados!I7*$D$13)*Datos!$C$29</f>
        <v>2035.5664468619248</v>
      </c>
      <c r="F15" s="8" t="str">
        <f>+Datos!B4</f>
        <v>RESINADO DE FILTRADO</v>
      </c>
      <c r="G15" s="9">
        <f>(Hoja_Resultados!I7+Hoja_Resultados!M7)*Datos!$C$22</f>
        <v>19225.57413087866</v>
      </c>
      <c r="H15" s="4"/>
    </row>
    <row r="16" spans="2:8" x14ac:dyDescent="0.3">
      <c r="B16" s="16" t="str">
        <f>+Datos!B5</f>
        <v>VALVULA DE GLOBO DE DIAMETRO</v>
      </c>
      <c r="C16" s="9">
        <f>(Hoja_Resultados!I8*$D$13)*Datos!$C$29</f>
        <v>1845.5880108451881</v>
      </c>
      <c r="F16" s="8" t="str">
        <f>+Datos!B5</f>
        <v>VALVULA DE GLOBO DE DIAMETRO</v>
      </c>
      <c r="G16" s="9">
        <f>(Hoja_Resultados!I8+Hoja_Resultados!M8)*Datos!$C$22</f>
        <v>16638.930532257742</v>
      </c>
      <c r="H16" s="4"/>
    </row>
    <row r="17" spans="2:8" x14ac:dyDescent="0.3">
      <c r="B17" s="3"/>
      <c r="H17" s="4"/>
    </row>
    <row r="18" spans="2:8" x14ac:dyDescent="0.3">
      <c r="B18" s="50" t="s">
        <v>22</v>
      </c>
      <c r="C18" s="51">
        <v>0.15</v>
      </c>
      <c r="D18" s="20">
        <v>0.1</v>
      </c>
      <c r="E18" s="20">
        <v>0.05</v>
      </c>
      <c r="F18" s="55" t="s">
        <v>28</v>
      </c>
      <c r="G18" s="55"/>
      <c r="H18" s="4"/>
    </row>
    <row r="19" spans="2:8" x14ac:dyDescent="0.3">
      <c r="B19" s="16" t="str">
        <f>+Datos!B3</f>
        <v>CARTUCHO DE OSMOSIS INVERSA</v>
      </c>
      <c r="C19" s="9">
        <f>Hoja_Resultados!I6*$C$18</f>
        <v>25883.499916317989</v>
      </c>
      <c r="F19" s="8" t="str">
        <f>+Datos!B3</f>
        <v>CARTUCHO DE OSMOSIS INVERSA</v>
      </c>
      <c r="G19" s="9">
        <f>(((Hoja_Resultados!R6-Hoja_Resultados!I6-Hoja_Resultados!M6)/Datos!$C$29)*100%*13%)+Hoja_Resultados!P6</f>
        <v>31171.706605656895</v>
      </c>
      <c r="H19" s="4"/>
    </row>
    <row r="20" spans="2:8" x14ac:dyDescent="0.3">
      <c r="B20" s="16" t="str">
        <f>+Datos!B4</f>
        <v>RESINADO DE FILTRADO</v>
      </c>
      <c r="C20" s="9">
        <f>Hoja_Resultados!I7*$D$18</f>
        <v>11698.657740585775</v>
      </c>
      <c r="F20" s="8" t="str">
        <f>+Datos!B4</f>
        <v>RESINADO DE FILTRADO</v>
      </c>
      <c r="G20" s="9">
        <f>(((Hoja_Resultados!R7-Hoja_Resultados!I7-Hoja_Resultados!M7)/Datos!$C$29)*100%*13%)+Hoja_Resultados!P7</f>
        <v>19955.188371882843</v>
      </c>
      <c r="H20" s="4"/>
    </row>
    <row r="21" spans="2:8" ht="15" thickBot="1" x14ac:dyDescent="0.35">
      <c r="B21" s="17" t="str">
        <f>+Datos!B5</f>
        <v>VALVULA DE GLOBO DE DIAMETRO</v>
      </c>
      <c r="C21" s="25">
        <f>Hoja_Resultados!I8*$E$18</f>
        <v>5303.4138242677827</v>
      </c>
      <c r="D21" s="5"/>
      <c r="E21" s="5"/>
      <c r="F21" s="24" t="str">
        <f>+Datos!B5</f>
        <v>VALVULA DE GLOBO DE DIAMETRO</v>
      </c>
      <c r="G21" s="25">
        <f>(((Hoja_Resultados!R8-Hoja_Resultados!I8-Hoja_Resultados!M8)/Datos!$C$29)*100%*13%)+Hoja_Resultados!P8</f>
        <v>17286.352905747277</v>
      </c>
      <c r="H21" s="18"/>
    </row>
  </sheetData>
  <mergeCells count="4">
    <mergeCell ref="B2:H2"/>
    <mergeCell ref="F3:G3"/>
    <mergeCell ref="B13:C13"/>
    <mergeCell ref="F18:G18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E1EBD-7158-4A6E-8875-12116660D734}">
  <dimension ref="A1:AA9"/>
  <sheetViews>
    <sheetView topLeftCell="A2" workbookViewId="0">
      <selection activeCell="V6" sqref="V6"/>
    </sheetView>
  </sheetViews>
  <sheetFormatPr baseColWidth="10" defaultRowHeight="14.4" x14ac:dyDescent="0.3"/>
  <cols>
    <col min="2" max="2" width="30" bestFit="1" customWidth="1"/>
  </cols>
  <sheetData>
    <row r="1" spans="1:27" x14ac:dyDescent="0.3">
      <c r="A1" s="64" t="s">
        <v>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 spans="1:27" x14ac:dyDescent="0.3">
      <c r="A2" s="64" t="s">
        <v>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 spans="1:27" x14ac:dyDescent="0.3">
      <c r="A3" s="1"/>
    </row>
    <row r="4" spans="1:27" x14ac:dyDescent="0.3">
      <c r="E4" s="7" t="s">
        <v>8</v>
      </c>
      <c r="F4" s="62" t="s">
        <v>16</v>
      </c>
      <c r="G4" s="62"/>
      <c r="H4" s="62"/>
      <c r="J4" s="62" t="s">
        <v>17</v>
      </c>
      <c r="K4" s="62"/>
      <c r="L4" s="62"/>
      <c r="M4" s="62"/>
      <c r="N4" s="62"/>
      <c r="O4" s="62"/>
      <c r="P4" s="62"/>
      <c r="V4" s="2">
        <v>0.2</v>
      </c>
    </row>
    <row r="5" spans="1:27" ht="43.2" x14ac:dyDescent="0.3">
      <c r="A5" s="30" t="s">
        <v>6</v>
      </c>
      <c r="B5" s="31" t="s">
        <v>12</v>
      </c>
      <c r="C5" s="31" t="s">
        <v>13</v>
      </c>
      <c r="D5" s="31" t="s">
        <v>7</v>
      </c>
      <c r="E5" s="31" t="s">
        <v>10</v>
      </c>
      <c r="F5" s="31" t="s">
        <v>11</v>
      </c>
      <c r="G5" s="31" t="s">
        <v>14</v>
      </c>
      <c r="H5" s="31" t="s">
        <v>15</v>
      </c>
      <c r="I5" s="31" t="s">
        <v>0</v>
      </c>
      <c r="J5" s="31" t="s">
        <v>18</v>
      </c>
      <c r="K5" s="31" t="s">
        <v>19</v>
      </c>
      <c r="L5" s="31" t="s">
        <v>20</v>
      </c>
      <c r="M5" s="31" t="s">
        <v>22</v>
      </c>
      <c r="N5" s="31" t="s">
        <v>23</v>
      </c>
      <c r="O5" s="31" t="s">
        <v>25</v>
      </c>
      <c r="P5" s="31" t="s">
        <v>2</v>
      </c>
      <c r="Q5" s="31" t="s">
        <v>26</v>
      </c>
      <c r="R5" s="31" t="s">
        <v>27</v>
      </c>
      <c r="S5" s="31" t="s">
        <v>29</v>
      </c>
      <c r="T5" s="39" t="s">
        <v>30</v>
      </c>
      <c r="U5" s="39" t="s">
        <v>31</v>
      </c>
      <c r="V5" s="39" t="s">
        <v>32</v>
      </c>
      <c r="W5" s="39" t="s">
        <v>33</v>
      </c>
      <c r="Y5" s="39" t="s">
        <v>34</v>
      </c>
      <c r="Z5" s="39" t="s">
        <v>35</v>
      </c>
      <c r="AA5" s="39" t="s">
        <v>36</v>
      </c>
    </row>
    <row r="6" spans="1:27" x14ac:dyDescent="0.3">
      <c r="A6" s="11" t="str">
        <f>+Datos!A3</f>
        <v>8421.21.10.00</v>
      </c>
      <c r="B6" s="10" t="str">
        <f>+Datos!B3</f>
        <v>CARTUCHO DE OSMOSIS INVERSA</v>
      </c>
      <c r="C6" s="12">
        <f>+Datos!C3</f>
        <v>150</v>
      </c>
      <c r="D6" s="12">
        <f>+Datos!D3</f>
        <v>140</v>
      </c>
      <c r="E6" s="12">
        <f>+'Costos Intern'!C4</f>
        <v>146160</v>
      </c>
      <c r="F6" s="13">
        <f>+'Costos Intern'!C9</f>
        <v>21924</v>
      </c>
      <c r="G6" s="13">
        <f>+'Costos Intern'!C14</f>
        <v>4384.8</v>
      </c>
      <c r="H6" s="13">
        <f>+'Costos Intern'!C19</f>
        <v>87.86610878661088</v>
      </c>
      <c r="I6" s="13">
        <f>E6+F6+G6+H6</f>
        <v>172556.66610878659</v>
      </c>
      <c r="J6" s="13">
        <f>+'Costos Nacionales'!D4</f>
        <v>4567.5</v>
      </c>
      <c r="K6" s="13">
        <f>+'Costos Nacionales'!C9</f>
        <v>750.62149757322163</v>
      </c>
      <c r="L6" s="13">
        <f>+'Costos Nacionales'!C14</f>
        <v>3002.4859902928865</v>
      </c>
      <c r="M6" s="13">
        <f>+'Costos Nacionales'!C19</f>
        <v>25883.499916317989</v>
      </c>
      <c r="N6" s="13">
        <f>+'Costos Nacionales'!G4</f>
        <v>1501.2429951464433</v>
      </c>
      <c r="O6" s="13">
        <f>+'Costos Nacionales'!G9</f>
        <v>382.21757322175728</v>
      </c>
      <c r="P6" s="13">
        <f>+'Costos Nacionales'!G14</f>
        <v>29646.960804150625</v>
      </c>
      <c r="Q6" s="13">
        <f>(I6+J6+K6+L6+M6+N6+O6)/Datos!$D$25</f>
        <v>29977.619839272826</v>
      </c>
      <c r="R6" s="13">
        <f>Q6*Datos!$D$25</f>
        <v>208644.23408133886</v>
      </c>
      <c r="S6" s="13">
        <f>+'Costos Nacionales'!G19</f>
        <v>31171.706605656895</v>
      </c>
      <c r="T6" s="13">
        <f>R6/C6</f>
        <v>1390.9615605422591</v>
      </c>
      <c r="U6" s="13">
        <f>(T6*Datos!$D$26)/Datos!$C$29</f>
        <v>2238.3289479990376</v>
      </c>
      <c r="V6" s="13">
        <f>C6*Datos!$C$27</f>
        <v>30</v>
      </c>
      <c r="W6" s="13">
        <f>U6*V6</f>
        <v>67149.868439971135</v>
      </c>
      <c r="Y6" s="13">
        <f>T6*V6</f>
        <v>41728.846816267775</v>
      </c>
      <c r="Z6" s="15">
        <f>(C6-V6)*T6</f>
        <v>166915.3872650711</v>
      </c>
      <c r="AA6" s="13">
        <f>(W6*87%)-Y6</f>
        <v>16691.538726507111</v>
      </c>
    </row>
    <row r="7" spans="1:27" x14ac:dyDescent="0.3">
      <c r="A7" s="11" t="str">
        <f>+Datos!A4</f>
        <v>3907.29.20.10</v>
      </c>
      <c r="B7" s="10" t="str">
        <f>+Datos!B4</f>
        <v>RESINADO DE FILTRADO</v>
      </c>
      <c r="C7" s="12">
        <f>+Datos!C4</f>
        <v>70</v>
      </c>
      <c r="D7" s="12">
        <f>+Datos!D4</f>
        <v>200</v>
      </c>
      <c r="E7" s="12">
        <f>+'Costos Intern'!C5</f>
        <v>97440</v>
      </c>
      <c r="F7" s="13">
        <f>+'Costos Intern'!C10</f>
        <v>14616</v>
      </c>
      <c r="G7" s="13">
        <f>+'Costos Intern'!C15</f>
        <v>4872</v>
      </c>
      <c r="H7" s="13">
        <f>+'Costos Intern'!C20</f>
        <v>58.577405857740587</v>
      </c>
      <c r="I7" s="13">
        <f t="shared" ref="I7:I8" si="0">E7+F7+G7+H7</f>
        <v>116986.57740585774</v>
      </c>
      <c r="J7" s="13">
        <f>+'Costos Nacionales'!D5</f>
        <v>1065.75</v>
      </c>
      <c r="K7" s="13">
        <f>+'Costos Nacionales'!C10</f>
        <v>508.89161171548119</v>
      </c>
      <c r="L7" s="13">
        <f>+'Costos Nacionales'!C15</f>
        <v>2035.5664468619248</v>
      </c>
      <c r="M7" s="13">
        <f>+'Costos Nacionales'!C20</f>
        <v>11698.657740585775</v>
      </c>
      <c r="N7" s="13">
        <f>+'Costos Nacionales'!G5</f>
        <v>1017.7832234309624</v>
      </c>
      <c r="O7" s="13">
        <f>+'Costos Nacionales'!G10</f>
        <v>254.81171548117155</v>
      </c>
      <c r="P7" s="13">
        <f>+'Costos Nacionales'!G15</f>
        <v>19225.57413087866</v>
      </c>
      <c r="Q7" s="13">
        <f>(I7+J7+K7+L7+M7+N7+O7)/Datos!$D$25</f>
        <v>19190.810078151302</v>
      </c>
      <c r="R7" s="13">
        <f>Q7*Datos!$D$25</f>
        <v>133568.03814393305</v>
      </c>
      <c r="S7" s="13">
        <f>+'Costos Nacionales'!G20</f>
        <v>19955.188371882843</v>
      </c>
      <c r="T7" s="13">
        <f t="shared" ref="T7:T8" si="1">R7/C7</f>
        <v>1908.114830627615</v>
      </c>
      <c r="U7" s="13">
        <f>(T7*Datos!$D$26)/Datos!$C$29</f>
        <v>3070.5296125042078</v>
      </c>
      <c r="V7" s="13">
        <f>C7*Datos!$C$27</f>
        <v>14</v>
      </c>
      <c r="W7" s="13">
        <f t="shared" ref="W7:W8" si="2">U7*V7</f>
        <v>42987.414575058909</v>
      </c>
      <c r="Y7" s="13">
        <f t="shared" ref="Y7:Y8" si="3">T7*V7</f>
        <v>26713.607628786609</v>
      </c>
      <c r="Z7" s="15">
        <f t="shared" ref="Z7:Z8" si="4">(C7-V7)*T7</f>
        <v>106854.43051514644</v>
      </c>
      <c r="AA7" s="13">
        <f t="shared" ref="AA7:AA8" si="5">(W7*87%)-Y7</f>
        <v>10685.443051514638</v>
      </c>
    </row>
    <row r="8" spans="1:27" x14ac:dyDescent="0.3">
      <c r="A8" s="11" t="str">
        <f>+Datos!A5</f>
        <v>8481.80.70.00</v>
      </c>
      <c r="B8" s="10" t="str">
        <f>+Datos!B5</f>
        <v>VALVULA DE GLOBO DE DIAMETRO</v>
      </c>
      <c r="C8" s="12">
        <f>+Datos!C5</f>
        <v>80</v>
      </c>
      <c r="D8" s="12">
        <f>+Datos!D5</f>
        <v>160</v>
      </c>
      <c r="E8" s="12">
        <f>+'Costos Intern'!C6</f>
        <v>89088</v>
      </c>
      <c r="F8" s="13">
        <f>+'Costos Intern'!C11</f>
        <v>13363.199999999999</v>
      </c>
      <c r="G8" s="13">
        <f>+'Costos Intern'!C16</f>
        <v>3563.52</v>
      </c>
      <c r="H8" s="13">
        <f>+'Costos Intern'!C21</f>
        <v>53.556485355648533</v>
      </c>
      <c r="I8" s="13">
        <f t="shared" si="0"/>
        <v>106068.27648535564</v>
      </c>
      <c r="J8" s="13">
        <f>+'Costos Nacionales'!D6</f>
        <v>870</v>
      </c>
      <c r="K8" s="13">
        <f>+'Costos Nacionales'!C11</f>
        <v>461.39700271129703</v>
      </c>
      <c r="L8" s="13">
        <f>+'Costos Nacionales'!C16</f>
        <v>1845.5880108451881</v>
      </c>
      <c r="M8" s="13">
        <f>+'Costos Nacionales'!C21</f>
        <v>5303.4138242677827</v>
      </c>
      <c r="N8" s="13">
        <f>+'Costos Nacionales'!G6</f>
        <v>922.79400542259407</v>
      </c>
      <c r="O8" s="13">
        <f>+'Costos Nacionales'!G11</f>
        <v>232.97071129707112</v>
      </c>
      <c r="P8" s="13">
        <f>+'Costos Nacionales'!G16</f>
        <v>16638.930532257742</v>
      </c>
      <c r="Q8" s="13">
        <f>(I8+J8+K8+L8+M8+N8+O8)/Datos!$D$25</f>
        <v>16624.201155157982</v>
      </c>
      <c r="R8" s="13">
        <f>Q8*Datos!$D$25</f>
        <v>115704.44003989955</v>
      </c>
      <c r="S8" s="13">
        <f>+'Costos Nacionales'!G21</f>
        <v>17286.352905747277</v>
      </c>
      <c r="T8" s="13">
        <f t="shared" si="1"/>
        <v>1446.3055004987443</v>
      </c>
      <c r="U8" s="13">
        <f>(T8*Datos!$D$26)/Datos!$C$29</f>
        <v>2327.3881617221173</v>
      </c>
      <c r="V8" s="13">
        <f>C8*Datos!$C$27</f>
        <v>16</v>
      </c>
      <c r="W8" s="13">
        <f t="shared" si="2"/>
        <v>37238.210587553876</v>
      </c>
      <c r="Y8" s="13">
        <f t="shared" si="3"/>
        <v>23140.888007979909</v>
      </c>
      <c r="Z8" s="15">
        <f t="shared" si="4"/>
        <v>92563.552031919637</v>
      </c>
      <c r="AA8" s="13">
        <f t="shared" si="5"/>
        <v>9256.3552031919644</v>
      </c>
    </row>
    <row r="9" spans="1:27" x14ac:dyDescent="0.3">
      <c r="A9" s="63" t="s">
        <v>3</v>
      </c>
      <c r="B9" s="63"/>
      <c r="C9" s="14">
        <f>SUM(C6:C8)</f>
        <v>300</v>
      </c>
      <c r="D9" s="13"/>
      <c r="E9" s="14">
        <f t="shared" ref="E9:S9" si="6">SUM(E6:E8)</f>
        <v>332688</v>
      </c>
      <c r="F9" s="14">
        <f t="shared" si="6"/>
        <v>49903.199999999997</v>
      </c>
      <c r="G9" s="14">
        <f t="shared" si="6"/>
        <v>12820.32</v>
      </c>
      <c r="H9" s="14">
        <f t="shared" si="6"/>
        <v>200</v>
      </c>
      <c r="I9" s="14">
        <f t="shared" si="6"/>
        <v>395611.51999999996</v>
      </c>
      <c r="J9" s="14">
        <f t="shared" si="6"/>
        <v>6503.25</v>
      </c>
      <c r="K9" s="14">
        <f t="shared" si="6"/>
        <v>1720.9101119999998</v>
      </c>
      <c r="L9" s="14">
        <f t="shared" si="6"/>
        <v>6883.6404479999992</v>
      </c>
      <c r="M9" s="14">
        <f t="shared" si="6"/>
        <v>42885.571481171544</v>
      </c>
      <c r="N9" s="14">
        <f t="shared" si="6"/>
        <v>3441.8202239999996</v>
      </c>
      <c r="O9" s="14">
        <f t="shared" si="6"/>
        <v>870</v>
      </c>
      <c r="P9" s="14">
        <f t="shared" si="6"/>
        <v>65511.465467287024</v>
      </c>
      <c r="Q9" s="14">
        <f t="shared" si="6"/>
        <v>65792.631072582109</v>
      </c>
      <c r="R9" s="14">
        <f t="shared" si="6"/>
        <v>457916.71226517146</v>
      </c>
      <c r="S9" s="14">
        <f t="shared" si="6"/>
        <v>68413.247883287011</v>
      </c>
      <c r="T9" s="14"/>
      <c r="U9" s="13"/>
      <c r="V9" s="14">
        <f>SUM(V6:V8)</f>
        <v>60</v>
      </c>
      <c r="W9" s="14">
        <f>SUM(W6:W8)</f>
        <v>147375.49360258391</v>
      </c>
      <c r="Y9" s="14">
        <f>SUM(Y6:Y8)</f>
        <v>91583.342453034289</v>
      </c>
      <c r="Z9" s="14">
        <f t="shared" ref="Z9:AA9" si="7">SUM(Z6:Z8)</f>
        <v>366333.36981213716</v>
      </c>
      <c r="AA9" s="14">
        <f t="shared" si="7"/>
        <v>36633.33698121371</v>
      </c>
    </row>
  </sheetData>
  <mergeCells count="5">
    <mergeCell ref="F4:H4"/>
    <mergeCell ref="J4:P4"/>
    <mergeCell ref="A9:B9"/>
    <mergeCell ref="A1:W1"/>
    <mergeCell ref="A2:W2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Datos</vt:lpstr>
      <vt:lpstr>Costos Intern</vt:lpstr>
      <vt:lpstr>Costos Nacionales</vt:lpstr>
      <vt:lpstr>Hoja_Resultados</vt:lpstr>
    </vt:vector>
  </TitlesOfParts>
  <Company>IMCAPTRADE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HP; OMercado</dc:creator>
  <cp:lastModifiedBy>HP</cp:lastModifiedBy>
  <dcterms:created xsi:type="dcterms:W3CDTF">2023-04-02T14:31:26Z</dcterms:created>
  <dcterms:modified xsi:type="dcterms:W3CDTF">2026-01-01T19:25:47Z</dcterms:modified>
</cp:coreProperties>
</file>